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00 - TalTech\IEE1100 - Arvutivõrgud\"/>
    </mc:Choice>
  </mc:AlternateContent>
  <xr:revisionPtr revIDLastSave="0" documentId="13_ncr:1_{6BD19E2F-3CEC-4E97-89E3-4646D1F798AE}" xr6:coauthVersionLast="44" xr6:coauthVersionMax="44" xr10:uidLastSave="{00000000-0000-0000-0000-000000000000}"/>
  <bookViews>
    <workbookView xWindow="4305" yWindow="450" windowWidth="21600" windowHeight="11505" xr2:uid="{04E5AF78-D3A0-40E6-ACBF-25545C2013D3}"/>
  </bookViews>
  <sheets>
    <sheet name="Sheet1" sheetId="1" r:id="rId1"/>
    <sheet name="Hamm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0" i="1" l="1"/>
  <c r="C174" i="1" l="1"/>
  <c r="E10" i="1"/>
  <c r="H22" i="2"/>
  <c r="D18" i="2"/>
  <c r="I18" i="2" s="1"/>
  <c r="F18" i="2"/>
  <c r="H18" i="2"/>
  <c r="B18" i="2"/>
  <c r="C17" i="2"/>
  <c r="I17" i="2" s="1"/>
  <c r="F17" i="2"/>
  <c r="G17" i="2"/>
  <c r="B17" i="2"/>
  <c r="C16" i="2"/>
  <c r="D16" i="2"/>
  <c r="E16" i="2"/>
  <c r="B16" i="2"/>
  <c r="H5" i="2"/>
  <c r="G5" i="2"/>
  <c r="E5" i="2"/>
  <c r="H7" i="2"/>
  <c r="G7" i="2"/>
  <c r="E7" i="2"/>
  <c r="C226" i="1"/>
  <c r="C222" i="1"/>
  <c r="C223" i="1"/>
  <c r="C224" i="1"/>
  <c r="C221" i="1"/>
  <c r="B213" i="1"/>
  <c r="B214" i="1"/>
  <c r="B212" i="1"/>
  <c r="B163" i="1"/>
  <c r="B164" i="1" s="1"/>
  <c r="B203" i="1"/>
  <c r="B204" i="1" s="1"/>
  <c r="B205" i="1" s="1"/>
  <c r="B20" i="1"/>
  <c r="B217" i="1" l="1"/>
  <c r="C230" i="1" s="1"/>
  <c r="I16" i="2"/>
  <c r="B188" i="1"/>
  <c r="C171" i="1" l="1"/>
  <c r="B9" i="1" l="1"/>
  <c r="B10" i="1" s="1"/>
  <c r="B183" i="1" l="1"/>
  <c r="B185" i="1"/>
  <c r="C173" i="1"/>
  <c r="C170" i="1"/>
  <c r="B184" i="1" l="1"/>
  <c r="B152" i="1"/>
  <c r="B155" i="1"/>
  <c r="B156" i="1" s="1"/>
  <c r="B143" i="1"/>
  <c r="B139" i="1"/>
  <c r="B157" i="1" l="1"/>
  <c r="N8" i="1"/>
  <c r="M8" i="1"/>
  <c r="H127" i="1"/>
  <c r="H126" i="1"/>
  <c r="H129" i="1" l="1"/>
  <c r="H131" i="1" s="1"/>
  <c r="H132" i="1" s="1"/>
  <c r="H133" i="1" s="1"/>
  <c r="I133" i="1" s="1"/>
  <c r="B89" i="1"/>
  <c r="B106" i="1" l="1"/>
  <c r="H121" i="1"/>
  <c r="G123" i="1" s="1"/>
  <c r="B121" i="1"/>
  <c r="B115" i="1"/>
  <c r="B111" i="1"/>
  <c r="D111" i="1" s="1"/>
  <c r="B79" i="1" l="1"/>
  <c r="B63" i="1"/>
  <c r="B59" i="1"/>
  <c r="B55" i="1"/>
  <c r="B48" i="1" l="1"/>
  <c r="B41" i="1"/>
  <c r="B42" i="1" s="1"/>
  <c r="B43" i="1" s="1"/>
  <c r="B36" i="1"/>
  <c r="B12" i="1"/>
  <c r="B31" i="1"/>
  <c r="B25" i="1"/>
  <c r="B19" i="1"/>
  <c r="B16" i="1"/>
  <c r="B8" i="1"/>
</calcChain>
</file>

<file path=xl/sharedStrings.xml><?xml version="1.0" encoding="utf-8"?>
<sst xmlns="http://schemas.openxmlformats.org/spreadsheetml/2006/main" count="249" uniqueCount="161">
  <si>
    <t>W</t>
  </si>
  <si>
    <t>dBm to number</t>
  </si>
  <si>
    <t>mW</t>
  </si>
  <si>
    <t>SNR (ratio) to dB</t>
  </si>
  <si>
    <t>times</t>
  </si>
  <si>
    <t>dB</t>
  </si>
  <si>
    <t>SNR</t>
  </si>
  <si>
    <t>Signal:</t>
  </si>
  <si>
    <t>Noise:</t>
  </si>
  <si>
    <t>Ratio</t>
  </si>
  <si>
    <t>S/N</t>
  </si>
  <si>
    <t>B</t>
  </si>
  <si>
    <t>Hz</t>
  </si>
  <si>
    <t>C</t>
  </si>
  <si>
    <t>bit/s</t>
  </si>
  <si>
    <t>mW to dBm</t>
  </si>
  <si>
    <t>bitt/s/Hz</t>
  </si>
  <si>
    <t>ρ</t>
  </si>
  <si>
    <t>Shannon-Hartley to C (andmeedastuskiirus)</t>
  </si>
  <si>
    <t>Shannon-Hartley to spektraalefektiivsus</t>
  </si>
  <si>
    <t>Shannon-Hartley to S/N</t>
  </si>
  <si>
    <t>dBm</t>
  </si>
  <si>
    <t>Shannon-Hartley to B (andmeedastuskiirus)</t>
  </si>
  <si>
    <t xml:space="preserve">2. allika kodeerimine; pinge, vool, takistus, siinus, spekter, dBV. </t>
  </si>
  <si>
    <t>dBv to volts</t>
  </si>
  <si>
    <t>dBV</t>
  </si>
  <si>
    <t>V</t>
  </si>
  <si>
    <t>Siinussignaali pinge efektiivväärtus voltides</t>
  </si>
  <si>
    <t>Pinge efektiivväärtus</t>
  </si>
  <si>
    <t>V, tipust-tippu pinge</t>
  </si>
  <si>
    <r>
      <t>U</t>
    </r>
    <r>
      <rPr>
        <vertAlign val="subscript"/>
        <sz val="11"/>
        <color theme="1"/>
        <rFont val="Roboto"/>
      </rPr>
      <t>pp</t>
    </r>
  </si>
  <si>
    <t>P</t>
  </si>
  <si>
    <t>bit</t>
  </si>
  <si>
    <t>Ühe sündmus tõenäosus</t>
  </si>
  <si>
    <t>Tõenäosus to info (bit)</t>
  </si>
  <si>
    <r>
      <t>-log</t>
    </r>
    <r>
      <rPr>
        <vertAlign val="subscript"/>
        <sz val="11"/>
        <color theme="1"/>
        <rFont val="Roboto"/>
      </rPr>
      <t>2</t>
    </r>
    <r>
      <rPr>
        <sz val="11"/>
        <color theme="1"/>
        <rFont val="Roboto"/>
      </rPr>
      <t>(p)</t>
    </r>
  </si>
  <si>
    <t>Shannoni informatsiooni hulk I(a) bittides</t>
  </si>
  <si>
    <r>
      <t>Info (I(</t>
    </r>
    <r>
      <rPr>
        <vertAlign val="subscript"/>
        <sz val="11"/>
        <color theme="1"/>
        <rFont val="Roboto"/>
      </rPr>
      <t>a)</t>
    </r>
    <r>
      <rPr>
        <sz val="11"/>
        <color theme="1"/>
        <rFont val="Roboto"/>
      </rPr>
      <t>)</t>
    </r>
  </si>
  <si>
    <t>Summa(tõenäosus x info)</t>
  </si>
  <si>
    <t>Info tekkimise kiirus - bit/s</t>
  </si>
  <si>
    <t>3. enesekontrollitest - Loeng 11, labor 3 teemad: kanali kodeerimine, järjestikedastus</t>
  </si>
  <si>
    <t>Koodi kiirus (efektiivsus)</t>
  </si>
  <si>
    <t>Andmed</t>
  </si>
  <si>
    <t>Kogupikkus</t>
  </si>
  <si>
    <t>Info kiirus</t>
  </si>
  <si>
    <t>Andmevoo kiirus</t>
  </si>
  <si>
    <t>P - power</t>
  </si>
  <si>
    <t>G - võimendus (gain)</t>
  </si>
  <si>
    <t>λ - lainepikkus</t>
  </si>
  <si>
    <t>c - laine levimise kiirus</t>
  </si>
  <si>
    <t>f - sagedus</t>
  </si>
  <si>
    <t>laine levimise kiirus vaakumis</t>
  </si>
  <si>
    <t>Ps</t>
  </si>
  <si>
    <t>Pvv</t>
  </si>
  <si>
    <t>Gs</t>
  </si>
  <si>
    <t>Gvv</t>
  </si>
  <si>
    <t>λ</t>
  </si>
  <si>
    <t>3. Harjutustund</t>
  </si>
  <si>
    <t>Uvv (dBV)</t>
  </si>
  <si>
    <t>Uvv (V)</t>
  </si>
  <si>
    <t>dBV to V</t>
  </si>
  <si>
    <t>Sama volt, mis sisse paned</t>
  </si>
  <si>
    <t>V to dBV</t>
  </si>
  <si>
    <t>U (V)</t>
  </si>
  <si>
    <t>U (dBV)</t>
  </si>
  <si>
    <t>U (pinge, efektiivväärtus) to Power</t>
  </si>
  <si>
    <t>R (ohm)</t>
  </si>
  <si>
    <t>ohm</t>
  </si>
  <si>
    <t>korda</t>
  </si>
  <si>
    <r>
      <t>d</t>
    </r>
    <r>
      <rPr>
        <b/>
        <vertAlign val="subscript"/>
        <sz val="11"/>
        <color theme="1"/>
        <rFont val="Roboto"/>
      </rPr>
      <t>max</t>
    </r>
  </si>
  <si>
    <t>m</t>
  </si>
  <si>
    <t>Leia saatja ja vastuvõtja vaheline max kaugus - Friisi valem</t>
  </si>
  <si>
    <t>Lingi bilanss</t>
  </si>
  <si>
    <r>
      <t>c = 3 * 10</t>
    </r>
    <r>
      <rPr>
        <vertAlign val="superscript"/>
        <sz val="11"/>
        <color rgb="FFFF0000"/>
        <rFont val="Roboto"/>
      </rPr>
      <t>8</t>
    </r>
  </si>
  <si>
    <t>SNR db to ratio or W</t>
  </si>
  <si>
    <t>Labor 3.</t>
  </si>
  <si>
    <r>
      <t>R = W⋅log</t>
    </r>
    <r>
      <rPr>
        <vertAlign val="subscript"/>
        <sz val="11"/>
        <color theme="1"/>
        <rFont val="Roboto"/>
      </rPr>
      <t>2</t>
    </r>
    <r>
      <rPr>
        <sz val="11"/>
        <color theme="1"/>
        <rFont val="Roboto"/>
      </rPr>
      <t>(1+S/N)</t>
    </r>
  </si>
  <si>
    <t xml:space="preserve">Lähteandmed: R – edastuskiirus [Mbit/s]; W – sagedusriba laius [MHz]; </t>
  </si>
  <si>
    <t xml:space="preserve">S – signaali võimsus; N – müra võimsus; S/N – signaali ja müra suhe kordades. </t>
  </si>
  <si>
    <t>S</t>
  </si>
  <si>
    <t>N</t>
  </si>
  <si>
    <t>MHz (sagedusriba laius)</t>
  </si>
  <si>
    <t>R</t>
  </si>
  <si>
    <t>edastuskiirus (Mbit/s)</t>
  </si>
  <si>
    <t>Sidekanali läbilaskevõime Shannoni valemiga</t>
  </si>
  <si>
    <t>OFDM</t>
  </si>
  <si>
    <t>Subcarriers (N)</t>
  </si>
  <si>
    <t>c</t>
  </si>
  <si>
    <t>Pv</t>
  </si>
  <si>
    <t>seda ei tea</t>
  </si>
  <si>
    <t>Gv</t>
  </si>
  <si>
    <t>dBi</t>
  </si>
  <si>
    <t>2dBi</t>
  </si>
  <si>
    <t>f</t>
  </si>
  <si>
    <t>lambda</t>
  </si>
  <si>
    <t>FSL</t>
  </si>
  <si>
    <t>Kasutusel</t>
  </si>
  <si>
    <t>Naaber</t>
  </si>
  <si>
    <t>200x</t>
  </si>
  <si>
    <t>mw</t>
  </si>
  <si>
    <r>
      <rPr>
        <b/>
        <sz val="11"/>
        <color theme="1"/>
        <rFont val="Roboto"/>
      </rPr>
      <t>BPSK</t>
    </r>
    <r>
      <rPr>
        <sz val="11"/>
        <color theme="1"/>
        <rFont val="Roboto"/>
      </rPr>
      <t xml:space="preserve"> ja biti energia suhe valge müra võimsuse spektraaltihedusse </t>
    </r>
  </si>
  <si>
    <t>Eb/n</t>
  </si>
  <si>
    <t>Pb (bitivea tõenäosus)</t>
  </si>
  <si>
    <t>BPSK puhul!</t>
  </si>
  <si>
    <t>Mittekoherentsel demoduleerimisel</t>
  </si>
  <si>
    <t>Jälgi märki!</t>
  </si>
  <si>
    <t>Fresneli tsooni raadius</t>
  </si>
  <si>
    <t>d</t>
  </si>
  <si>
    <r>
      <t>h = r</t>
    </r>
    <r>
      <rPr>
        <vertAlign val="subscript"/>
        <sz val="11"/>
        <color theme="1"/>
        <rFont val="Roboto"/>
      </rPr>
      <t>F</t>
    </r>
  </si>
  <si>
    <t>km</t>
  </si>
  <si>
    <t>λ = c / f</t>
  </si>
  <si>
    <r>
      <t>r</t>
    </r>
    <r>
      <rPr>
        <vertAlign val="subscript"/>
        <sz val="11"/>
        <color theme="1"/>
        <rFont val="Roboto"/>
      </rPr>
      <t>F</t>
    </r>
    <r>
      <rPr>
        <sz val="11"/>
        <color theme="1"/>
        <rFont val="Roboto"/>
      </rPr>
      <t xml:space="preserve"> maksimaalne laius = antenni kõrgus, kui maju pole vahel.</t>
    </r>
  </si>
  <si>
    <t>SEE ON POOL!</t>
  </si>
  <si>
    <t>Vahemaa (2d)</t>
  </si>
  <si>
    <t>MHz to Hz</t>
  </si>
  <si>
    <t>GHz to MHz</t>
  </si>
  <si>
    <t>GHz to Hz</t>
  </si>
  <si>
    <t>FSL 2 =</t>
  </si>
  <si>
    <t>FSL 3 =</t>
  </si>
  <si>
    <t>kordades</t>
  </si>
  <si>
    <t>MHz to GHz</t>
  </si>
  <si>
    <t>Pvv =</t>
  </si>
  <si>
    <t>Hz konverteerimine</t>
  </si>
  <si>
    <t>Psignaal</t>
  </si>
  <si>
    <t>dBi (võimendus)</t>
  </si>
  <si>
    <t>Gsaatja</t>
  </si>
  <si>
    <t>Gvvõtja</t>
  </si>
  <si>
    <t>times (scientific)</t>
  </si>
  <si>
    <t>Friisi valem - kauguse arvutamine lähteandmete kaudu</t>
  </si>
  <si>
    <t>r</t>
  </si>
  <si>
    <t>m, masti kõrgus</t>
  </si>
  <si>
    <t>Shannoni entroopia</t>
  </si>
  <si>
    <t>p</t>
  </si>
  <si>
    <t>H(A)</t>
  </si>
  <si>
    <t>bitti</t>
  </si>
  <si>
    <t>c (pikkus bittides)</t>
  </si>
  <si>
    <t>L (keskmine pikkus)</t>
  </si>
  <si>
    <t>Koodsõna keskmise pikkuse ja allika entroopia erinevust nimetatakse</t>
  </si>
  <si>
    <t>d7</t>
  </si>
  <si>
    <t>d6</t>
  </si>
  <si>
    <t>d5</t>
  </si>
  <si>
    <t>p4</t>
  </si>
  <si>
    <t>d3</t>
  </si>
  <si>
    <t>p2</t>
  </si>
  <si>
    <t>p1</t>
  </si>
  <si>
    <t>Paarsus</t>
  </si>
  <si>
    <t>Paarsusbittide leidmiseks</t>
  </si>
  <si>
    <t>Vastuvõetud sõnumi kontroll</t>
  </si>
  <si>
    <t>Vastuvõetud sõnum</t>
  </si>
  <si>
    <t>A</t>
  </si>
  <si>
    <t>Sündroom s = {A,B,C}</t>
  </si>
  <si>
    <t>bitt on vigane</t>
  </si>
  <si>
    <t>Biti jrk</t>
  </si>
  <si>
    <t>Friisi valem, vaba ruumi kadu (sumbumus)</t>
  </si>
  <si>
    <t>Selles valemis on S/N kordades!</t>
  </si>
  <si>
    <t>Spektraalefektiivsus on C/B ja ühikuks bitt/s/Hz</t>
  </si>
  <si>
    <t>Entroopia H(A) =</t>
  </si>
  <si>
    <t>ühikuta</t>
  </si>
  <si>
    <t>m, lainepikkus</t>
  </si>
  <si>
    <t>m, see on poole vahemaad!</t>
  </si>
  <si>
    <r>
      <t>P</t>
    </r>
    <r>
      <rPr>
        <vertAlign val="subscript"/>
        <sz val="11"/>
        <color theme="1"/>
        <rFont val="Roboto"/>
      </rPr>
      <t>b</t>
    </r>
    <r>
      <rPr>
        <sz val="11"/>
        <color theme="1"/>
        <rFont val="Roboto"/>
      </rPr>
      <t xml:space="preserve"> (bitivea tõenäosus)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</si>
</sst>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00"/>
    <numFmt numFmtId="165" formatCode="0.000"/>
    <numFmt numFmtId="166" formatCode="0.00000E+00"/>
    <numFmt numFmtId="167" formatCode="0.00000000000000E+00"/>
    <numFmt numFmtId="168" formatCode="0.000E+00"/>
    <numFmt numFmtId="169" formatCode="0.0000000"/>
    <numFmt numFmtId="170" formatCode="0.0000000000E+00"/>
    <numFmt numFmtId="171" formatCode="0.00000"/>
    <numFmt numFmtId="172" formatCode="0.000000"/>
    <numFmt numFmtId="173" formatCode="0.00000000E+00"/>
    <numFmt numFmtId="174" formatCode="0.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Roboto"/>
    </font>
    <font>
      <b/>
      <sz val="11"/>
      <color theme="1"/>
      <name val="Roboto"/>
    </font>
    <font>
      <vertAlign val="subscript"/>
      <sz val="11"/>
      <color theme="1"/>
      <name val="Roboto"/>
    </font>
    <font>
      <i/>
      <sz val="11"/>
      <color theme="1"/>
      <name val="Roboto"/>
    </font>
    <font>
      <b/>
      <vertAlign val="subscript"/>
      <sz val="11"/>
      <color theme="1"/>
      <name val="Roboto"/>
    </font>
    <font>
      <sz val="11"/>
      <color rgb="FFFF0000"/>
      <name val="Roboto"/>
    </font>
    <font>
      <vertAlign val="superscript"/>
      <sz val="11"/>
      <color rgb="FFFF0000"/>
      <name val="Roboto"/>
    </font>
    <font>
      <b/>
      <sz val="11"/>
      <color rgb="FFFF0000"/>
      <name val="Roboto"/>
    </font>
    <font>
      <strike/>
      <sz val="11"/>
      <color theme="1"/>
      <name val="Roboto"/>
    </font>
    <font>
      <sz val="10"/>
      <color theme="1"/>
      <name val="Roboto"/>
    </font>
    <font>
      <b/>
      <sz val="10"/>
      <color theme="1"/>
      <name val="Roboto"/>
    </font>
    <font>
      <b/>
      <sz val="12"/>
      <color theme="1"/>
      <name val="Roboto"/>
    </font>
    <font>
      <sz val="10"/>
      <name val="Roboto"/>
    </font>
    <font>
      <sz val="8"/>
      <color theme="1"/>
      <name val="Roboto"/>
    </font>
    <font>
      <b/>
      <sz val="10"/>
      <color rgb="FFFF0000"/>
      <name val="Roboto"/>
    </font>
  </fonts>
  <fills count="6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2" fillId="0" borderId="0" xfId="0" applyFont="1"/>
    <xf numFmtId="0" fontId="1" fillId="2" borderId="1" xfId="0" applyFont="1" applyFill="1" applyBorder="1"/>
    <xf numFmtId="167" fontId="1" fillId="0" borderId="0" xfId="0" applyNumberFormat="1" applyFont="1"/>
    <xf numFmtId="166" fontId="1" fillId="0" borderId="0" xfId="0" applyNumberFormat="1" applyFont="1"/>
    <xf numFmtId="2" fontId="1" fillId="0" borderId="0" xfId="0" applyNumberFormat="1" applyFont="1"/>
    <xf numFmtId="2" fontId="1" fillId="2" borderId="1" xfId="0" applyNumberFormat="1" applyFont="1" applyFill="1" applyBorder="1"/>
    <xf numFmtId="164" fontId="1" fillId="0" borderId="0" xfId="0" applyNumberFormat="1" applyFont="1"/>
    <xf numFmtId="0" fontId="1" fillId="0" borderId="0" xfId="0" quotePrefix="1" applyFont="1"/>
    <xf numFmtId="0" fontId="2" fillId="3" borderId="0" xfId="0" applyFont="1" applyFill="1"/>
    <xf numFmtId="2" fontId="1" fillId="3" borderId="0" xfId="0" applyNumberFormat="1" applyFont="1" applyFill="1"/>
    <xf numFmtId="0" fontId="1" fillId="3" borderId="0" xfId="0" applyFont="1" applyFill="1"/>
    <xf numFmtId="2" fontId="4" fillId="0" borderId="0" xfId="0" applyNumberFormat="1" applyFont="1"/>
    <xf numFmtId="11" fontId="1" fillId="0" borderId="0" xfId="0" applyNumberFormat="1" applyFont="1"/>
    <xf numFmtId="11" fontId="1" fillId="2" borderId="1" xfId="0" applyNumberFormat="1" applyFont="1" applyFill="1" applyBorder="1"/>
    <xf numFmtId="0" fontId="4" fillId="0" borderId="0" xfId="0" applyFont="1"/>
    <xf numFmtId="0" fontId="6" fillId="0" borderId="0" xfId="0" applyFont="1"/>
    <xf numFmtId="168" fontId="1" fillId="0" borderId="0" xfId="0" applyNumberFormat="1" applyFont="1"/>
    <xf numFmtId="169" fontId="1" fillId="0" borderId="0" xfId="0" applyNumberFormat="1" applyFont="1"/>
    <xf numFmtId="170" fontId="1" fillId="0" borderId="0" xfId="0" applyNumberFormat="1" applyFont="1"/>
    <xf numFmtId="0" fontId="1" fillId="4" borderId="0" xfId="0" applyFont="1" applyFill="1"/>
    <xf numFmtId="2" fontId="1" fillId="4" borderId="0" xfId="0" applyNumberFormat="1" applyFont="1" applyFill="1"/>
    <xf numFmtId="169" fontId="1" fillId="2" borderId="1" xfId="0" applyNumberFormat="1" applyFont="1" applyFill="1" applyBorder="1"/>
    <xf numFmtId="0" fontId="8" fillId="0" borderId="0" xfId="0" applyFont="1"/>
    <xf numFmtId="171" fontId="1" fillId="0" borderId="0" xfId="0" applyNumberFormat="1" applyFont="1"/>
    <xf numFmtId="172" fontId="1" fillId="0" borderId="0" xfId="0" applyNumberFormat="1" applyFont="1"/>
    <xf numFmtId="0" fontId="2" fillId="4" borderId="0" xfId="0" applyFont="1" applyFill="1"/>
    <xf numFmtId="1" fontId="1" fillId="0" borderId="0" xfId="0" applyNumberFormat="1" applyFont="1"/>
    <xf numFmtId="2" fontId="2" fillId="0" borderId="0" xfId="0" applyNumberFormat="1" applyFont="1"/>
    <xf numFmtId="2" fontId="2" fillId="3" borderId="0" xfId="0" applyNumberFormat="1" applyFont="1" applyFill="1"/>
    <xf numFmtId="2" fontId="1" fillId="2" borderId="0" xfId="0" applyNumberFormat="1" applyFont="1" applyFill="1"/>
    <xf numFmtId="165" fontId="2" fillId="0" borderId="0" xfId="0" applyNumberFormat="1" applyFont="1"/>
    <xf numFmtId="0" fontId="2" fillId="0" borderId="0" xfId="0" applyFont="1" applyAlignment="1"/>
    <xf numFmtId="0" fontId="9" fillId="0" borderId="0" xfId="0" applyFont="1"/>
    <xf numFmtId="2" fontId="9" fillId="0" borderId="0" xfId="0" applyNumberFormat="1" applyFont="1"/>
    <xf numFmtId="173" fontId="1" fillId="0" borderId="0" xfId="0" applyNumberFormat="1" applyFont="1"/>
    <xf numFmtId="174" fontId="1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0" borderId="0" xfId="0" applyFont="1" applyFill="1" applyAlignment="1">
      <alignment horizontal="center"/>
    </xf>
    <xf numFmtId="0" fontId="11" fillId="0" borderId="0" xfId="0" applyFont="1"/>
    <xf numFmtId="0" fontId="10" fillId="2" borderId="0" xfId="0" applyFont="1" applyFill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2" fillId="0" borderId="0" xfId="0" applyFont="1"/>
    <xf numFmtId="0" fontId="13" fillId="5" borderId="0" xfId="0" applyFont="1" applyFill="1"/>
    <xf numFmtId="0" fontId="13" fillId="0" borderId="0" xfId="0" applyFont="1" applyFill="1"/>
    <xf numFmtId="0" fontId="14" fillId="0" borderId="0" xfId="0" applyFont="1" applyFill="1" applyAlignment="1">
      <alignment horizontal="center" vertical="center"/>
    </xf>
    <xf numFmtId="0" fontId="15" fillId="0" borderId="0" xfId="0" applyFont="1"/>
    <xf numFmtId="171" fontId="2" fillId="0" borderId="0" xfId="0" applyNumberFormat="1" applyFont="1"/>
    <xf numFmtId="0" fontId="1" fillId="0" borderId="4" xfId="0" applyFont="1" applyBorder="1"/>
    <xf numFmtId="2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gif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gif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62193</xdr:colOff>
      <xdr:row>36</xdr:row>
      <xdr:rowOff>177115</xdr:rowOff>
    </xdr:from>
    <xdr:to>
      <xdr:col>4</xdr:col>
      <xdr:colOff>2767853</xdr:colOff>
      <xdr:row>39</xdr:row>
      <xdr:rowOff>102680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A6A2E2-80CD-426C-90A7-818524BAA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3340" y="7225615"/>
          <a:ext cx="2705660" cy="519477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54</xdr:row>
      <xdr:rowOff>28575</xdr:rowOff>
    </xdr:from>
    <xdr:to>
      <xdr:col>4</xdr:col>
      <xdr:colOff>895350</xdr:colOff>
      <xdr:row>55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4BED83-360B-4397-B2D5-DBA83829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0534650"/>
          <a:ext cx="18097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52</xdr:row>
      <xdr:rowOff>171450</xdr:rowOff>
    </xdr:from>
    <xdr:to>
      <xdr:col>4</xdr:col>
      <xdr:colOff>171450</xdr:colOff>
      <xdr:row>53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E6E3D1-5D40-487C-8DEB-58109BED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0296525"/>
          <a:ext cx="10668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64</xdr:row>
      <xdr:rowOff>142875</xdr:rowOff>
    </xdr:from>
    <xdr:to>
      <xdr:col>2</xdr:col>
      <xdr:colOff>581025</xdr:colOff>
      <xdr:row>68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6F31D6-3963-409B-8877-0ED319B2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30150"/>
          <a:ext cx="32670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103</xdr:row>
      <xdr:rowOff>167968</xdr:rowOff>
    </xdr:from>
    <xdr:to>
      <xdr:col>9</xdr:col>
      <xdr:colOff>427960</xdr:colOff>
      <xdr:row>113</xdr:row>
      <xdr:rowOff>28138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FA2A12B-37A5-4A75-A2FB-968A484A7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96175" y="16931968"/>
          <a:ext cx="2799686" cy="1841370"/>
        </a:xfrm>
        <a:prstGeom prst="rect">
          <a:avLst/>
        </a:prstGeom>
      </xdr:spPr>
    </xdr:pic>
    <xdr:clientData/>
  </xdr:twoCellAnchor>
  <xdr:twoCellAnchor editAs="oneCell">
    <xdr:from>
      <xdr:col>4</xdr:col>
      <xdr:colOff>22412</xdr:colOff>
      <xdr:row>136</xdr:row>
      <xdr:rowOff>44823</xdr:rowOff>
    </xdr:from>
    <xdr:to>
      <xdr:col>4</xdr:col>
      <xdr:colOff>1603364</xdr:colOff>
      <xdr:row>141</xdr:row>
      <xdr:rowOff>44135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AE6CF6C-F66A-43CC-B87E-FCD3EE4D4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35824" y="26591558"/>
          <a:ext cx="1580952" cy="1019048"/>
        </a:xfrm>
        <a:prstGeom prst="rect">
          <a:avLst/>
        </a:prstGeom>
      </xdr:spPr>
    </xdr:pic>
    <xdr:clientData/>
  </xdr:twoCellAnchor>
  <xdr:twoCellAnchor editAs="oneCell">
    <xdr:from>
      <xdr:col>20</xdr:col>
      <xdr:colOff>265206</xdr:colOff>
      <xdr:row>153</xdr:row>
      <xdr:rowOff>78440</xdr:rowOff>
    </xdr:from>
    <xdr:to>
      <xdr:col>22</xdr:col>
      <xdr:colOff>258515</xdr:colOff>
      <xdr:row>156</xdr:row>
      <xdr:rowOff>129802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58995DD-0487-492D-9C8E-922454FA2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780000" y="29975734"/>
          <a:ext cx="1203545" cy="656479"/>
        </a:xfrm>
        <a:prstGeom prst="rect">
          <a:avLst/>
        </a:prstGeom>
      </xdr:spPr>
    </xdr:pic>
    <xdr:clientData/>
  </xdr:twoCellAnchor>
  <xdr:twoCellAnchor editAs="oneCell">
    <xdr:from>
      <xdr:col>4</xdr:col>
      <xdr:colOff>281875</xdr:colOff>
      <xdr:row>150</xdr:row>
      <xdr:rowOff>22414</xdr:rowOff>
    </xdr:from>
    <xdr:to>
      <xdr:col>4</xdr:col>
      <xdr:colOff>2671311</xdr:colOff>
      <xdr:row>157</xdr:row>
      <xdr:rowOff>67237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8B2AFF3-6401-4771-A9F1-E9D4C2294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95287" y="29314590"/>
          <a:ext cx="2389436" cy="1411940"/>
        </a:xfrm>
        <a:prstGeom prst="rect">
          <a:avLst/>
        </a:prstGeom>
      </xdr:spPr>
    </xdr:pic>
    <xdr:clientData/>
  </xdr:twoCellAnchor>
  <xdr:twoCellAnchor editAs="oneCell">
    <xdr:from>
      <xdr:col>5</xdr:col>
      <xdr:colOff>16527</xdr:colOff>
      <xdr:row>147</xdr:row>
      <xdr:rowOff>78442</xdr:rowOff>
    </xdr:from>
    <xdr:to>
      <xdr:col>11</xdr:col>
      <xdr:colOff>549088</xdr:colOff>
      <xdr:row>155</xdr:row>
      <xdr:rowOff>78232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C579ABD-A730-42F7-8006-9654B5871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378792" y="28765501"/>
          <a:ext cx="4544267" cy="1591026"/>
        </a:xfrm>
        <a:prstGeom prst="rect">
          <a:avLst/>
        </a:prstGeom>
      </xdr:spPr>
    </xdr:pic>
    <xdr:clientData/>
  </xdr:twoCellAnchor>
  <xdr:twoCellAnchor editAs="oneCell">
    <xdr:from>
      <xdr:col>4</xdr:col>
      <xdr:colOff>11206</xdr:colOff>
      <xdr:row>176</xdr:row>
      <xdr:rowOff>33618</xdr:rowOff>
    </xdr:from>
    <xdr:to>
      <xdr:col>4</xdr:col>
      <xdr:colOff>1277472</xdr:colOff>
      <xdr:row>179</xdr:row>
      <xdr:rowOff>89931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1C91EE2-E6CF-4629-BCB4-EC71882F6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482353" y="33203030"/>
          <a:ext cx="1266266" cy="627813"/>
        </a:xfrm>
        <a:prstGeom prst="rect">
          <a:avLst/>
        </a:prstGeom>
      </xdr:spPr>
    </xdr:pic>
    <xdr:clientData/>
  </xdr:twoCellAnchor>
  <xdr:twoCellAnchor editAs="oneCell">
    <xdr:from>
      <xdr:col>4</xdr:col>
      <xdr:colOff>33618</xdr:colOff>
      <xdr:row>180</xdr:row>
      <xdr:rowOff>0</xdr:rowOff>
    </xdr:from>
    <xdr:to>
      <xdr:col>4</xdr:col>
      <xdr:colOff>2039471</xdr:colOff>
      <xdr:row>183</xdr:row>
      <xdr:rowOff>145306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1FF56C1-88EA-481C-9DB9-792FE4EBD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504765" y="33942619"/>
          <a:ext cx="2005853" cy="716806"/>
        </a:xfrm>
        <a:prstGeom prst="rect">
          <a:avLst/>
        </a:prstGeom>
      </xdr:spPr>
    </xdr:pic>
    <xdr:clientData/>
  </xdr:twoCellAnchor>
  <xdr:twoCellAnchor editAs="oneCell">
    <xdr:from>
      <xdr:col>4</xdr:col>
      <xdr:colOff>11205</xdr:colOff>
      <xdr:row>184</xdr:row>
      <xdr:rowOff>11206</xdr:rowOff>
    </xdr:from>
    <xdr:to>
      <xdr:col>4</xdr:col>
      <xdr:colOff>1703294</xdr:colOff>
      <xdr:row>187</xdr:row>
      <xdr:rowOff>25941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B6CDB39-E5C3-41B9-9C46-28246E2EA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482352" y="34704618"/>
          <a:ext cx="1692089" cy="586235"/>
        </a:xfrm>
        <a:prstGeom prst="rect">
          <a:avLst/>
        </a:prstGeom>
      </xdr:spPr>
    </xdr:pic>
    <xdr:clientData/>
  </xdr:twoCellAnchor>
  <xdr:twoCellAnchor editAs="oneCell">
    <xdr:from>
      <xdr:col>4</xdr:col>
      <xdr:colOff>22412</xdr:colOff>
      <xdr:row>187</xdr:row>
      <xdr:rowOff>179295</xdr:rowOff>
    </xdr:from>
    <xdr:to>
      <xdr:col>5</xdr:col>
      <xdr:colOff>134471</xdr:colOff>
      <xdr:row>190</xdr:row>
      <xdr:rowOff>86259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856ED35-FB76-467D-A64C-51C9164BE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493559" y="35444207"/>
          <a:ext cx="3260912" cy="478464"/>
        </a:xfrm>
        <a:prstGeom prst="rect">
          <a:avLst/>
        </a:prstGeom>
      </xdr:spPr>
    </xdr:pic>
    <xdr:clientData/>
  </xdr:twoCellAnchor>
  <xdr:twoCellAnchor editAs="oneCell">
    <xdr:from>
      <xdr:col>4</xdr:col>
      <xdr:colOff>56029</xdr:colOff>
      <xdr:row>196</xdr:row>
      <xdr:rowOff>67235</xdr:rowOff>
    </xdr:from>
    <xdr:to>
      <xdr:col>4</xdr:col>
      <xdr:colOff>2061882</xdr:colOff>
      <xdr:row>200</xdr:row>
      <xdr:rowOff>22041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FB928BA7-5DC8-464E-899A-93FD22099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527176" y="37237147"/>
          <a:ext cx="2005853" cy="716806"/>
        </a:xfrm>
        <a:prstGeom prst="rect">
          <a:avLst/>
        </a:prstGeom>
      </xdr:spPr>
    </xdr:pic>
    <xdr:clientData/>
  </xdr:twoCellAnchor>
  <xdr:twoCellAnchor editAs="oneCell">
    <xdr:from>
      <xdr:col>4</xdr:col>
      <xdr:colOff>112059</xdr:colOff>
      <xdr:row>200</xdr:row>
      <xdr:rowOff>190499</xdr:rowOff>
    </xdr:from>
    <xdr:to>
      <xdr:col>4</xdr:col>
      <xdr:colOff>2143081</xdr:colOff>
      <xdr:row>205</xdr:row>
      <xdr:rowOff>100852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5D6525C-708B-4B45-81A8-30E86D940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583206" y="38122411"/>
          <a:ext cx="2031022" cy="862853"/>
        </a:xfrm>
        <a:prstGeom prst="rect">
          <a:avLst/>
        </a:prstGeom>
      </xdr:spPr>
    </xdr:pic>
    <xdr:clientData/>
  </xdr:twoCellAnchor>
  <xdr:twoCellAnchor editAs="oneCell">
    <xdr:from>
      <xdr:col>4</xdr:col>
      <xdr:colOff>22412</xdr:colOff>
      <xdr:row>210</xdr:row>
      <xdr:rowOff>89647</xdr:rowOff>
    </xdr:from>
    <xdr:to>
      <xdr:col>7</xdr:col>
      <xdr:colOff>595520</xdr:colOff>
      <xdr:row>215</xdr:row>
      <xdr:rowOff>80004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D7097F3-C197-460B-9E42-AC28BFCC2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493559" y="40879059"/>
          <a:ext cx="5066667" cy="942857"/>
        </a:xfrm>
        <a:prstGeom prst="rect">
          <a:avLst/>
        </a:prstGeom>
      </xdr:spPr>
    </xdr:pic>
    <xdr:clientData/>
  </xdr:twoCellAnchor>
  <xdr:twoCellAnchor editAs="oneCell">
    <xdr:from>
      <xdr:col>4</xdr:col>
      <xdr:colOff>112059</xdr:colOff>
      <xdr:row>219</xdr:row>
      <xdr:rowOff>78441</xdr:rowOff>
    </xdr:from>
    <xdr:to>
      <xdr:col>4</xdr:col>
      <xdr:colOff>2254916</xdr:colOff>
      <xdr:row>224</xdr:row>
      <xdr:rowOff>87846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E6333CA-FE0D-4E83-B869-7454834CA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583206" y="42582353"/>
          <a:ext cx="2142857" cy="9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228</xdr:row>
      <xdr:rowOff>67235</xdr:rowOff>
    </xdr:from>
    <xdr:to>
      <xdr:col>0</xdr:col>
      <xdr:colOff>1123810</xdr:colOff>
      <xdr:row>230</xdr:row>
      <xdr:rowOff>86235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E68DEDC-4E55-4FB0-8F14-1435CE741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44285647"/>
          <a:ext cx="1123810" cy="4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0</xdr:rowOff>
    </xdr:from>
    <xdr:to>
      <xdr:col>19</xdr:col>
      <xdr:colOff>237181</xdr:colOff>
      <xdr:row>13</xdr:row>
      <xdr:rowOff>53555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DBC1DC-963E-4B2B-A762-332762BEE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950" y="0"/>
          <a:ext cx="5028256" cy="2234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EFA98-18AE-45AB-9931-3B6E39AD5F51}">
  <dimension ref="A6:P232"/>
  <sheetViews>
    <sheetView tabSelected="1" topLeftCell="A162" zoomScale="85" zoomScaleNormal="85" workbookViewId="0">
      <selection activeCell="B180" sqref="B180"/>
    </sheetView>
  </sheetViews>
  <sheetFormatPr defaultRowHeight="15" x14ac:dyDescent="0.25"/>
  <cols>
    <col min="1" max="1" width="17.7109375" style="1" customWidth="1"/>
    <col min="2" max="2" width="22.5703125" style="7" customWidth="1"/>
    <col min="3" max="3" width="14.28515625" style="1" bestFit="1" customWidth="1"/>
    <col min="4" max="4" width="14" style="1" bestFit="1" customWidth="1"/>
    <col min="5" max="5" width="47.28515625" style="1" customWidth="1"/>
    <col min="6" max="6" width="9.140625" style="1"/>
    <col min="7" max="7" width="11.140625" style="1" customWidth="1"/>
    <col min="8" max="8" width="12.7109375" style="1" bestFit="1" customWidth="1"/>
    <col min="9" max="12" width="9.140625" style="1"/>
    <col min="13" max="14" width="14.28515625" style="1" bestFit="1" customWidth="1"/>
    <col min="15" max="16384" width="9.140625" style="1"/>
  </cols>
  <sheetData>
    <row r="6" spans="1:14" x14ac:dyDescent="0.25">
      <c r="E6" s="19"/>
      <c r="M6" s="1" t="s">
        <v>96</v>
      </c>
      <c r="N6" s="1" t="s">
        <v>97</v>
      </c>
    </row>
    <row r="7" spans="1:14" ht="15.75" thickBot="1" x14ac:dyDescent="0.3">
      <c r="A7" s="3" t="s">
        <v>1</v>
      </c>
      <c r="L7" s="1" t="s">
        <v>99</v>
      </c>
      <c r="M7" s="1">
        <v>7.943282347242792E-11</v>
      </c>
      <c r="N7" s="1">
        <v>6.3095734448019345E-12</v>
      </c>
    </row>
    <row r="8" spans="1:14" ht="15.75" thickBot="1" x14ac:dyDescent="0.3">
      <c r="A8" s="4">
        <v>12</v>
      </c>
      <c r="B8" s="21">
        <f>POWER(10,A8/10)/1000</f>
        <v>1.5848931924611138E-2</v>
      </c>
      <c r="C8" s="1" t="s">
        <v>0</v>
      </c>
      <c r="E8" s="7">
        <v>15.848931924611136</v>
      </c>
      <c r="L8" s="1" t="s">
        <v>98</v>
      </c>
      <c r="M8" s="1">
        <f>(M7/200)</f>
        <v>3.9716411736213962E-13</v>
      </c>
      <c r="N8" s="1">
        <f>(N7/200)</f>
        <v>3.154786722400967E-14</v>
      </c>
    </row>
    <row r="9" spans="1:14" x14ac:dyDescent="0.25">
      <c r="B9" s="19">
        <f>POWER(10,A8/10)</f>
        <v>15.848931924611136</v>
      </c>
      <c r="C9" s="1" t="s">
        <v>2</v>
      </c>
      <c r="E9" s="6">
        <v>1.5848931924611136</v>
      </c>
      <c r="M9" s="1">
        <v>3.1622776601683669E-12</v>
      </c>
      <c r="N9" s="1">
        <v>3.1622776601683669E-12</v>
      </c>
    </row>
    <row r="10" spans="1:14" x14ac:dyDescent="0.25">
      <c r="B10" s="20">
        <f>(B9)</f>
        <v>15.848931924611136</v>
      </c>
      <c r="C10" s="1" t="s">
        <v>2</v>
      </c>
      <c r="E10" s="20">
        <f>(E8/E9)</f>
        <v>10</v>
      </c>
    </row>
    <row r="11" spans="1:14" ht="15.75" thickBot="1" x14ac:dyDescent="0.3">
      <c r="A11" s="3" t="s">
        <v>15</v>
      </c>
    </row>
    <row r="12" spans="1:14" ht="15.75" thickBot="1" x14ac:dyDescent="0.3">
      <c r="A12" s="4">
        <v>7.1906000000000002E-6</v>
      </c>
      <c r="B12" s="7">
        <f>10*LOG10(A12)</f>
        <v>-51.432348695868974</v>
      </c>
      <c r="C12" s="1" t="s">
        <v>21</v>
      </c>
      <c r="E12" s="37"/>
    </row>
    <row r="15" spans="1:14" ht="15.75" thickBot="1" x14ac:dyDescent="0.3">
      <c r="A15" s="3" t="s">
        <v>3</v>
      </c>
      <c r="E15" s="5"/>
    </row>
    <row r="16" spans="1:14" ht="15.75" thickBot="1" x14ac:dyDescent="0.3">
      <c r="A16" s="4">
        <v>5.5364944587864198</v>
      </c>
      <c r="B16" s="7">
        <f>10*LOG10(A16)</f>
        <v>7.43234869586896</v>
      </c>
      <c r="C16" s="1" t="s">
        <v>5</v>
      </c>
    </row>
    <row r="18" spans="1:5" ht="15.75" thickBot="1" x14ac:dyDescent="0.3">
      <c r="A18" s="3" t="s">
        <v>74</v>
      </c>
    </row>
    <row r="19" spans="1:5" ht="15.75" thickBot="1" x14ac:dyDescent="0.3">
      <c r="A19" s="4">
        <v>25.7</v>
      </c>
      <c r="B19" s="7">
        <f>POWER(10,A19/10)</f>
        <v>371.53522909717265</v>
      </c>
      <c r="C19" s="1" t="s">
        <v>4</v>
      </c>
    </row>
    <row r="20" spans="1:5" x14ac:dyDescent="0.25">
      <c r="B20" s="19">
        <f>POWER(10,A19/10)</f>
        <v>371.53522909717265</v>
      </c>
      <c r="C20" s="1" t="s">
        <v>127</v>
      </c>
    </row>
    <row r="22" spans="1:5" ht="15.75" thickBot="1" x14ac:dyDescent="0.3">
      <c r="A22" s="3" t="s">
        <v>6</v>
      </c>
      <c r="E22" s="2"/>
    </row>
    <row r="23" spans="1:5" ht="15.75" thickBot="1" x14ac:dyDescent="0.3">
      <c r="A23" s="1" t="s">
        <v>7</v>
      </c>
      <c r="B23" s="8">
        <v>1.2999999999999999E-3</v>
      </c>
      <c r="C23" s="1" t="s">
        <v>2</v>
      </c>
      <c r="D23" s="1" t="s">
        <v>0</v>
      </c>
    </row>
    <row r="24" spans="1:5" ht="15.75" thickBot="1" x14ac:dyDescent="0.3">
      <c r="A24" s="1" t="s">
        <v>8</v>
      </c>
      <c r="B24" s="8">
        <v>9.3170999999999993E-6</v>
      </c>
      <c r="C24" s="1" t="s">
        <v>2</v>
      </c>
      <c r="D24" s="1" t="s">
        <v>0</v>
      </c>
    </row>
    <row r="25" spans="1:5" x14ac:dyDescent="0.25">
      <c r="A25" s="1" t="s">
        <v>9</v>
      </c>
      <c r="B25" s="7">
        <f>(B23/B24)</f>
        <v>139.52839402818475</v>
      </c>
      <c r="C25" s="1" t="s">
        <v>4</v>
      </c>
    </row>
    <row r="28" spans="1:5" ht="15.75" thickBot="1" x14ac:dyDescent="0.3">
      <c r="A28" s="3" t="s">
        <v>18</v>
      </c>
    </row>
    <row r="29" spans="1:5" ht="15.75" thickBot="1" x14ac:dyDescent="0.3">
      <c r="A29" s="1" t="s">
        <v>10</v>
      </c>
      <c r="B29" s="8">
        <v>501187233.62727159</v>
      </c>
      <c r="C29" s="1" t="s">
        <v>4</v>
      </c>
    </row>
    <row r="30" spans="1:5" ht="15.75" thickBot="1" x14ac:dyDescent="0.3">
      <c r="A30" s="1" t="s">
        <v>11</v>
      </c>
      <c r="B30" s="8">
        <v>13000000</v>
      </c>
      <c r="C30" s="1" t="s">
        <v>12</v>
      </c>
    </row>
    <row r="31" spans="1:5" x14ac:dyDescent="0.25">
      <c r="A31" s="3" t="s">
        <v>13</v>
      </c>
      <c r="B31" s="7">
        <f>(B30*LOG10(1+B29)/LOG10(2))</f>
        <v>375710067.56918186</v>
      </c>
      <c r="C31" s="1" t="s">
        <v>14</v>
      </c>
    </row>
    <row r="33" spans="1:8" ht="15.75" thickBot="1" x14ac:dyDescent="0.3">
      <c r="A33" s="3" t="s">
        <v>19</v>
      </c>
    </row>
    <row r="34" spans="1:8" ht="15.75" thickBot="1" x14ac:dyDescent="0.3">
      <c r="A34" s="1" t="s">
        <v>13</v>
      </c>
      <c r="B34" s="8">
        <v>21.9</v>
      </c>
      <c r="C34" s="1" t="s">
        <v>14</v>
      </c>
    </row>
    <row r="35" spans="1:8" ht="15.75" thickBot="1" x14ac:dyDescent="0.3">
      <c r="A35" s="1" t="s">
        <v>11</v>
      </c>
      <c r="B35" s="8">
        <v>450.8</v>
      </c>
      <c r="C35" s="1" t="s">
        <v>12</v>
      </c>
    </row>
    <row r="36" spans="1:8" x14ac:dyDescent="0.25">
      <c r="A36" s="1" t="s">
        <v>17</v>
      </c>
      <c r="B36" s="9">
        <f>(B34/B35)</f>
        <v>4.8580301685891746E-2</v>
      </c>
      <c r="C36" s="1" t="s">
        <v>16</v>
      </c>
    </row>
    <row r="38" spans="1:8" ht="15.75" thickBot="1" x14ac:dyDescent="0.3">
      <c r="A38" s="3" t="s">
        <v>20</v>
      </c>
    </row>
    <row r="39" spans="1:8" ht="15.75" thickBot="1" x14ac:dyDescent="0.3">
      <c r="A39" s="1" t="s">
        <v>11</v>
      </c>
      <c r="B39" s="8">
        <v>62</v>
      </c>
      <c r="C39" s="1" t="s">
        <v>12</v>
      </c>
    </row>
    <row r="40" spans="1:8" ht="15.75" thickBot="1" x14ac:dyDescent="0.3">
      <c r="A40" s="1" t="s">
        <v>13</v>
      </c>
      <c r="B40" s="8">
        <v>771</v>
      </c>
      <c r="C40" s="1" t="s">
        <v>14</v>
      </c>
    </row>
    <row r="41" spans="1:8" x14ac:dyDescent="0.25">
      <c r="B41" s="7">
        <f>(B40/B39)*LOG10(2)</f>
        <v>3.7434536557569276</v>
      </c>
      <c r="E41" s="25" t="s">
        <v>154</v>
      </c>
    </row>
    <row r="42" spans="1:8" x14ac:dyDescent="0.25">
      <c r="A42" s="1" t="s">
        <v>10</v>
      </c>
      <c r="B42" s="2">
        <f>POWER(10,B41)-1</f>
        <v>5538.2843021587769</v>
      </c>
      <c r="C42" s="1" t="s">
        <v>4</v>
      </c>
    </row>
    <row r="43" spans="1:8" x14ac:dyDescent="0.25">
      <c r="A43" s="1" t="s">
        <v>10</v>
      </c>
      <c r="B43" s="7">
        <f>10*LOG10(B42)</f>
        <v>37.433752460447252</v>
      </c>
      <c r="C43" s="1" t="s">
        <v>5</v>
      </c>
      <c r="E43" s="3" t="s">
        <v>155</v>
      </c>
    </row>
    <row r="45" spans="1:8" ht="15.75" thickBot="1" x14ac:dyDescent="0.3">
      <c r="A45" s="3" t="s">
        <v>22</v>
      </c>
    </row>
    <row r="46" spans="1:8" ht="15.75" thickBot="1" x14ac:dyDescent="0.3">
      <c r="A46" s="1" t="s">
        <v>13</v>
      </c>
      <c r="B46" s="8">
        <v>85000000</v>
      </c>
      <c r="C46" s="1" t="s">
        <v>14</v>
      </c>
      <c r="H46"/>
    </row>
    <row r="47" spans="1:8" ht="15.75" thickBot="1" x14ac:dyDescent="0.3">
      <c r="A47" s="1" t="s">
        <v>10</v>
      </c>
      <c r="B47" s="8">
        <v>48</v>
      </c>
      <c r="C47" s="1" t="s">
        <v>4</v>
      </c>
    </row>
    <row r="48" spans="1:8" x14ac:dyDescent="0.25">
      <c r="A48" s="1" t="s">
        <v>11</v>
      </c>
      <c r="B48" s="7">
        <f>(B46/(LOG(1+B47,2)))</f>
        <v>15138805.452090941</v>
      </c>
      <c r="C48" s="1" t="s">
        <v>12</v>
      </c>
    </row>
    <row r="51" spans="1:5" s="13" customFormat="1" x14ac:dyDescent="0.25">
      <c r="A51" s="11" t="s">
        <v>23</v>
      </c>
      <c r="B51" s="12"/>
    </row>
    <row r="53" spans="1:5" ht="15.75" thickBot="1" x14ac:dyDescent="0.3">
      <c r="A53" s="3" t="s">
        <v>24</v>
      </c>
    </row>
    <row r="54" spans="1:5" ht="15.75" thickBot="1" x14ac:dyDescent="0.3">
      <c r="A54" s="1" t="s">
        <v>25</v>
      </c>
      <c r="B54" s="8">
        <v>-20</v>
      </c>
    </row>
    <row r="55" spans="1:5" x14ac:dyDescent="0.25">
      <c r="A55" s="1" t="s">
        <v>26</v>
      </c>
      <c r="B55" s="26">
        <f>POWER(10,B54/20)</f>
        <v>0.1</v>
      </c>
    </row>
    <row r="56" spans="1:5" x14ac:dyDescent="0.25">
      <c r="E56"/>
    </row>
    <row r="57" spans="1:5" ht="15.75" thickBot="1" x14ac:dyDescent="0.3">
      <c r="A57" s="3" t="s">
        <v>27</v>
      </c>
    </row>
    <row r="58" spans="1:5" ht="18.75" thickBot="1" x14ac:dyDescent="0.4">
      <c r="A58" s="1" t="s">
        <v>30</v>
      </c>
      <c r="B58" s="8">
        <v>176</v>
      </c>
      <c r="C58" s="1" t="s">
        <v>29</v>
      </c>
    </row>
    <row r="59" spans="1:5" x14ac:dyDescent="0.25">
      <c r="A59" s="1" t="s">
        <v>28</v>
      </c>
      <c r="B59" s="7">
        <f>(B58/(2*SQRT(2)))</f>
        <v>62.22539674441618</v>
      </c>
      <c r="C59" s="1" t="s">
        <v>26</v>
      </c>
    </row>
    <row r="61" spans="1:5" ht="15.75" thickBot="1" x14ac:dyDescent="0.3">
      <c r="A61" s="3" t="s">
        <v>34</v>
      </c>
    </row>
    <row r="62" spans="1:5" ht="15.75" thickBot="1" x14ac:dyDescent="0.3">
      <c r="A62" s="1" t="s">
        <v>31</v>
      </c>
      <c r="B62" s="8">
        <v>0.76600000000000001</v>
      </c>
      <c r="C62" s="1" t="s">
        <v>33</v>
      </c>
    </row>
    <row r="63" spans="1:5" ht="18" x14ac:dyDescent="0.35">
      <c r="A63" s="1" t="s">
        <v>37</v>
      </c>
      <c r="B63" s="2">
        <f>-LOG(B62,2)</f>
        <v>0.38458370273713</v>
      </c>
      <c r="C63" s="1" t="s">
        <v>32</v>
      </c>
      <c r="D63" s="10" t="s">
        <v>35</v>
      </c>
      <c r="E63" s="1" t="s">
        <v>36</v>
      </c>
    </row>
    <row r="67" spans="1:9" x14ac:dyDescent="0.25">
      <c r="I67" s="2"/>
    </row>
    <row r="70" spans="1:9" x14ac:dyDescent="0.25">
      <c r="A70" s="1" t="s">
        <v>38</v>
      </c>
    </row>
    <row r="71" spans="1:9" x14ac:dyDescent="0.25">
      <c r="A71" s="1" t="s">
        <v>39</v>
      </c>
    </row>
    <row r="74" spans="1:9" s="13" customFormat="1" x14ac:dyDescent="0.25">
      <c r="A74" s="11" t="s">
        <v>40</v>
      </c>
      <c r="B74" s="12"/>
    </row>
    <row r="76" spans="1:9" ht="15.75" thickBot="1" x14ac:dyDescent="0.3"/>
    <row r="77" spans="1:9" ht="15.75" thickBot="1" x14ac:dyDescent="0.3">
      <c r="A77" s="1" t="s">
        <v>42</v>
      </c>
      <c r="B77" s="8">
        <v>21500</v>
      </c>
      <c r="C77" s="1" t="s">
        <v>44</v>
      </c>
    </row>
    <row r="78" spans="1:9" ht="15.75" thickBot="1" x14ac:dyDescent="0.3">
      <c r="A78" s="1" t="s">
        <v>43</v>
      </c>
      <c r="B78" s="8">
        <v>43000</v>
      </c>
      <c r="C78" s="1" t="s">
        <v>45</v>
      </c>
    </row>
    <row r="79" spans="1:9" x14ac:dyDescent="0.25">
      <c r="A79" s="1" t="s">
        <v>41</v>
      </c>
      <c r="B79" s="7">
        <f>(B77/B78)</f>
        <v>0.5</v>
      </c>
    </row>
    <row r="82" spans="1:5" x14ac:dyDescent="0.25">
      <c r="A82" s="1" t="s">
        <v>75</v>
      </c>
    </row>
    <row r="84" spans="1:5" ht="18" x14ac:dyDescent="0.35">
      <c r="A84" s="3" t="s">
        <v>84</v>
      </c>
      <c r="E84" s="1" t="s">
        <v>76</v>
      </c>
    </row>
    <row r="85" spans="1:5" x14ac:dyDescent="0.25">
      <c r="A85" s="1" t="s">
        <v>79</v>
      </c>
      <c r="B85" s="19">
        <v>3.3884415613920193E-8</v>
      </c>
      <c r="C85" s="1" t="s">
        <v>2</v>
      </c>
      <c r="E85" s="1" t="s">
        <v>77</v>
      </c>
    </row>
    <row r="86" spans="1:5" x14ac:dyDescent="0.25">
      <c r="A86" s="1" t="s">
        <v>80</v>
      </c>
      <c r="B86" s="19">
        <v>2.1379620895022299E-9</v>
      </c>
      <c r="C86" s="1" t="s">
        <v>2</v>
      </c>
      <c r="E86" s="1" t="s">
        <v>78</v>
      </c>
    </row>
    <row r="87" spans="1:5" x14ac:dyDescent="0.25">
      <c r="A87" s="1" t="s">
        <v>0</v>
      </c>
      <c r="B87" s="7">
        <v>20</v>
      </c>
      <c r="C87" s="1" t="s">
        <v>81</v>
      </c>
    </row>
    <row r="89" spans="1:5" x14ac:dyDescent="0.25">
      <c r="A89" s="1" t="s">
        <v>82</v>
      </c>
      <c r="B89" s="7">
        <f>B87*LOG((1+B85/B86),2)</f>
        <v>81.491704698108521</v>
      </c>
      <c r="C89" s="1" t="s">
        <v>83</v>
      </c>
    </row>
    <row r="98" spans="1:4" s="13" customFormat="1" x14ac:dyDescent="0.25">
      <c r="A98" s="11" t="s">
        <v>57</v>
      </c>
    </row>
    <row r="99" spans="1:4" ht="15.75" thickBot="1" x14ac:dyDescent="0.3">
      <c r="A99" s="17" t="s">
        <v>71</v>
      </c>
    </row>
    <row r="100" spans="1:4" ht="15.75" thickBot="1" x14ac:dyDescent="0.3">
      <c r="A100" s="1" t="s">
        <v>52</v>
      </c>
      <c r="B100" s="8">
        <v>50</v>
      </c>
      <c r="C100" s="1" t="s">
        <v>0</v>
      </c>
    </row>
    <row r="101" spans="1:4" ht="15.75" thickBot="1" x14ac:dyDescent="0.3">
      <c r="A101" s="1" t="s">
        <v>53</v>
      </c>
      <c r="B101" s="16">
        <v>7.9621434110699437E-15</v>
      </c>
      <c r="C101" s="1" t="s">
        <v>0</v>
      </c>
    </row>
    <row r="102" spans="1:4" ht="15.75" thickBot="1" x14ac:dyDescent="0.3">
      <c r="A102" s="1" t="s">
        <v>54</v>
      </c>
      <c r="B102" s="8">
        <v>3.3113112148259116</v>
      </c>
      <c r="C102" s="1" t="s">
        <v>68</v>
      </c>
    </row>
    <row r="103" spans="1:4" ht="15.75" thickBot="1" x14ac:dyDescent="0.3">
      <c r="A103" s="1" t="s">
        <v>55</v>
      </c>
      <c r="B103" s="8">
        <v>3.3113112148259116</v>
      </c>
      <c r="C103" s="1" t="s">
        <v>68</v>
      </c>
    </row>
    <row r="104" spans="1:4" ht="15.75" thickBot="1" x14ac:dyDescent="0.3">
      <c r="A104" s="1" t="s">
        <v>56</v>
      </c>
      <c r="B104" s="8">
        <v>2.2222222222222223</v>
      </c>
    </row>
    <row r="106" spans="1:4" ht="18" x14ac:dyDescent="0.35">
      <c r="A106" s="3" t="s">
        <v>69</v>
      </c>
      <c r="B106" s="15">
        <f>((B104/(4*PI())*(SQRT((B100*B102*B103)/B101))))</f>
        <v>46403167.483474836</v>
      </c>
      <c r="C106" s="1" t="s">
        <v>70</v>
      </c>
    </row>
    <row r="109" spans="1:4" ht="15.75" thickBot="1" x14ac:dyDescent="0.3">
      <c r="A109" s="3" t="s">
        <v>60</v>
      </c>
      <c r="B109" s="14" t="s">
        <v>61</v>
      </c>
    </row>
    <row r="110" spans="1:4" ht="15.75" thickBot="1" x14ac:dyDescent="0.3">
      <c r="A110" s="1" t="s">
        <v>58</v>
      </c>
      <c r="B110" s="8">
        <v>-4.58</v>
      </c>
      <c r="C110" s="1" t="s">
        <v>25</v>
      </c>
    </row>
    <row r="111" spans="1:4" x14ac:dyDescent="0.25">
      <c r="A111" s="1" t="s">
        <v>59</v>
      </c>
      <c r="B111" s="7">
        <f>POWER(10,B110/20)</f>
        <v>0.59020108017184425</v>
      </c>
      <c r="C111" s="1" t="s">
        <v>26</v>
      </c>
      <c r="D111" s="1">
        <f>(B111*POWER(10,-6))</f>
        <v>5.9020108017184422E-7</v>
      </c>
    </row>
    <row r="113" spans="1:16" ht="15.75" thickBot="1" x14ac:dyDescent="0.3">
      <c r="A113" s="3" t="s">
        <v>62</v>
      </c>
    </row>
    <row r="114" spans="1:16" ht="15.75" thickBot="1" x14ac:dyDescent="0.3">
      <c r="A114" s="1" t="s">
        <v>63</v>
      </c>
      <c r="B114" s="8">
        <v>0.63</v>
      </c>
    </row>
    <row r="115" spans="1:16" x14ac:dyDescent="0.25">
      <c r="A115" s="1" t="s">
        <v>64</v>
      </c>
      <c r="B115" s="7">
        <f>20*LOG10(B114)</f>
        <v>-4.0131890109283654</v>
      </c>
    </row>
    <row r="116" spans="1:16" x14ac:dyDescent="0.25">
      <c r="G116" s="1" t="s">
        <v>46</v>
      </c>
      <c r="N116" s="1" t="s">
        <v>88</v>
      </c>
      <c r="O116" s="1" t="s">
        <v>89</v>
      </c>
    </row>
    <row r="117" spans="1:16" x14ac:dyDescent="0.25">
      <c r="G117" s="1" t="s">
        <v>47</v>
      </c>
      <c r="N117" s="1" t="s">
        <v>52</v>
      </c>
    </row>
    <row r="118" spans="1:16" x14ac:dyDescent="0.25">
      <c r="A118" s="3" t="s">
        <v>65</v>
      </c>
      <c r="G118" s="1" t="s">
        <v>48</v>
      </c>
      <c r="N118" s="1" t="s">
        <v>54</v>
      </c>
      <c r="O118" s="1" t="s">
        <v>92</v>
      </c>
    </row>
    <row r="119" spans="1:16" x14ac:dyDescent="0.25">
      <c r="A119" s="1" t="s">
        <v>63</v>
      </c>
      <c r="B119" s="15">
        <v>6.3095734448019318E-7</v>
      </c>
      <c r="C119" s="1" t="s">
        <v>26</v>
      </c>
      <c r="G119" s="1" t="s">
        <v>49</v>
      </c>
      <c r="N119" s="1" t="s">
        <v>90</v>
      </c>
      <c r="O119" s="1">
        <v>9</v>
      </c>
      <c r="P119" s="1" t="s">
        <v>91</v>
      </c>
    </row>
    <row r="120" spans="1:16" x14ac:dyDescent="0.25">
      <c r="A120" s="1" t="s">
        <v>66</v>
      </c>
      <c r="B120" s="7">
        <v>50</v>
      </c>
      <c r="C120" s="1" t="s">
        <v>67</v>
      </c>
      <c r="G120" s="1" t="s">
        <v>50</v>
      </c>
    </row>
    <row r="121" spans="1:16" ht="17.25" x14ac:dyDescent="0.25">
      <c r="A121" s="1" t="s">
        <v>31</v>
      </c>
      <c r="B121" s="15">
        <f>POWER(B119,2)/B120</f>
        <v>7.9621434110699437E-15</v>
      </c>
      <c r="C121" s="1" t="s">
        <v>0</v>
      </c>
      <c r="G121" s="18" t="s">
        <v>73</v>
      </c>
      <c r="H121" s="1">
        <f>3*POWER(10,8)</f>
        <v>300000000</v>
      </c>
      <c r="I121" s="1" t="s">
        <v>51</v>
      </c>
    </row>
    <row r="123" spans="1:16" x14ac:dyDescent="0.25">
      <c r="G123" s="1">
        <f>(H121/(135*1000000))</f>
        <v>2.2222222222222223</v>
      </c>
    </row>
    <row r="124" spans="1:16" x14ac:dyDescent="0.25">
      <c r="A124" s="3" t="s">
        <v>72</v>
      </c>
    </row>
    <row r="126" spans="1:16" x14ac:dyDescent="0.25">
      <c r="G126" s="1" t="s">
        <v>87</v>
      </c>
      <c r="H126" s="1">
        <f>3*POWER(10,8)</f>
        <v>300000000</v>
      </c>
    </row>
    <row r="127" spans="1:16" x14ac:dyDescent="0.25">
      <c r="G127" s="1" t="s">
        <v>93</v>
      </c>
      <c r="H127" s="1">
        <f>2.4*POWER(10,9)</f>
        <v>2400000000</v>
      </c>
    </row>
    <row r="128" spans="1:16" x14ac:dyDescent="0.25">
      <c r="A128" s="1" t="s">
        <v>85</v>
      </c>
    </row>
    <row r="129" spans="1:9" x14ac:dyDescent="0.25">
      <c r="A129" s="1" t="s">
        <v>86</v>
      </c>
      <c r="B129" s="7">
        <v>14</v>
      </c>
      <c r="G129" s="1" t="s">
        <v>94</v>
      </c>
      <c r="H129" s="1">
        <f>(H126/H127)</f>
        <v>0.125</v>
      </c>
    </row>
    <row r="131" spans="1:9" x14ac:dyDescent="0.25">
      <c r="G131" s="1" t="s">
        <v>95</v>
      </c>
      <c r="H131" s="1">
        <f>(4*PI()*2)/H129</f>
        <v>201.06192982974676</v>
      </c>
    </row>
    <row r="132" spans="1:9" x14ac:dyDescent="0.25">
      <c r="H132" s="1">
        <f>POWER(H131,2)</f>
        <v>40425.89962686201</v>
      </c>
    </row>
    <row r="133" spans="1:9" x14ac:dyDescent="0.25">
      <c r="G133" s="1" t="s">
        <v>88</v>
      </c>
      <c r="H133" s="1">
        <f>-504/H132</f>
        <v>-1.2467255018490782E-2</v>
      </c>
      <c r="I133" s="1">
        <f>(H133*1000)</f>
        <v>-12.467255018490782</v>
      </c>
    </row>
    <row r="136" spans="1:9" s="22" customFormat="1" x14ac:dyDescent="0.25">
      <c r="A136" s="22" t="s">
        <v>100</v>
      </c>
      <c r="B136" s="23"/>
    </row>
    <row r="137" spans="1:9" ht="15.75" thickBot="1" x14ac:dyDescent="0.3"/>
    <row r="138" spans="1:9" ht="18.75" thickBot="1" x14ac:dyDescent="0.4">
      <c r="A138" s="1" t="s">
        <v>160</v>
      </c>
      <c r="B138" s="24">
        <v>5.976E-7</v>
      </c>
    </row>
    <row r="139" spans="1:9" x14ac:dyDescent="0.25">
      <c r="A139" s="1" t="s">
        <v>101</v>
      </c>
      <c r="B139" s="2">
        <f>-LN(2*B138)</f>
        <v>13.637197022567859</v>
      </c>
      <c r="C139" s="1" t="s">
        <v>157</v>
      </c>
    </row>
    <row r="141" spans="1:9" ht="15.75" thickBot="1" x14ac:dyDescent="0.3"/>
    <row r="142" spans="1:9" ht="15.75" thickBot="1" x14ac:dyDescent="0.3">
      <c r="A142" s="1" t="s">
        <v>101</v>
      </c>
      <c r="B142" s="8">
        <v>4.7380000000000004</v>
      </c>
    </row>
    <row r="143" spans="1:9" x14ac:dyDescent="0.25">
      <c r="A143" s="1" t="s">
        <v>102</v>
      </c>
      <c r="B143" s="27">
        <f>0.5*POWER(EXP(1),-B142)</f>
        <v>4.3780704833969808E-3</v>
      </c>
      <c r="E143" s="1" t="s">
        <v>103</v>
      </c>
    </row>
    <row r="144" spans="1:9" x14ac:dyDescent="0.25">
      <c r="E144" s="3" t="s">
        <v>104</v>
      </c>
    </row>
    <row r="145" spans="1:6" x14ac:dyDescent="0.25">
      <c r="E145" s="25" t="s">
        <v>105</v>
      </c>
    </row>
    <row r="147" spans="1:6" s="22" customFormat="1" x14ac:dyDescent="0.25">
      <c r="A147" s="28" t="s">
        <v>106</v>
      </c>
      <c r="B147" s="23"/>
    </row>
    <row r="148" spans="1:6" ht="15.75" thickBot="1" x14ac:dyDescent="0.3"/>
    <row r="149" spans="1:6" ht="18.75" thickBot="1" x14ac:dyDescent="0.4">
      <c r="A149" s="1" t="s">
        <v>108</v>
      </c>
      <c r="B149" s="8">
        <v>105</v>
      </c>
      <c r="C149" s="1" t="s">
        <v>70</v>
      </c>
      <c r="D149" s="1" t="s">
        <v>106</v>
      </c>
    </row>
    <row r="150" spans="1:6" ht="15.75" thickBot="1" x14ac:dyDescent="0.3">
      <c r="A150" s="1" t="s">
        <v>93</v>
      </c>
      <c r="B150" s="8">
        <v>44100000</v>
      </c>
      <c r="C150" s="1" t="s">
        <v>12</v>
      </c>
    </row>
    <row r="152" spans="1:6" x14ac:dyDescent="0.25">
      <c r="A152" s="1" t="s">
        <v>110</v>
      </c>
      <c r="B152" s="2">
        <f>(300000000)/B150</f>
        <v>6.8027210884353737</v>
      </c>
      <c r="C152" s="1" t="s">
        <v>158</v>
      </c>
    </row>
    <row r="155" spans="1:6" x14ac:dyDescent="0.25">
      <c r="A155" s="1" t="s">
        <v>107</v>
      </c>
      <c r="B155" s="29">
        <f>2*POWER(B149,2)/B152</f>
        <v>3241.3500000000004</v>
      </c>
      <c r="C155" s="1" t="s">
        <v>70</v>
      </c>
      <c r="D155" s="25" t="s">
        <v>112</v>
      </c>
    </row>
    <row r="156" spans="1:6" ht="18" x14ac:dyDescent="0.35">
      <c r="B156" s="7">
        <f>(B155/1000)</f>
        <v>3.2413500000000002</v>
      </c>
      <c r="C156" s="1" t="s">
        <v>109</v>
      </c>
      <c r="F156" s="1" t="s">
        <v>111</v>
      </c>
    </row>
    <row r="157" spans="1:6" x14ac:dyDescent="0.25">
      <c r="A157" s="3" t="s">
        <v>113</v>
      </c>
      <c r="B157" s="30">
        <f>(B155*2)</f>
        <v>6482.7000000000007</v>
      </c>
      <c r="C157" s="3" t="s">
        <v>70</v>
      </c>
    </row>
    <row r="159" spans="1:6" x14ac:dyDescent="0.25">
      <c r="A159" s="53"/>
      <c r="B159" s="54"/>
      <c r="C159" s="53"/>
      <c r="D159" s="53"/>
    </row>
    <row r="160" spans="1:6" x14ac:dyDescent="0.25">
      <c r="A160" s="1" t="s">
        <v>107</v>
      </c>
      <c r="B160" s="32">
        <v>9000</v>
      </c>
      <c r="C160" s="25" t="s">
        <v>159</v>
      </c>
    </row>
    <row r="161" spans="1:4" x14ac:dyDescent="0.25">
      <c r="A161" s="1" t="s">
        <v>93</v>
      </c>
      <c r="B161" s="32">
        <v>4600000</v>
      </c>
      <c r="C161" s="1" t="s">
        <v>12</v>
      </c>
    </row>
    <row r="162" spans="1:4" x14ac:dyDescent="0.25">
      <c r="B162" s="1"/>
    </row>
    <row r="163" spans="1:4" x14ac:dyDescent="0.25">
      <c r="A163" s="3" t="s">
        <v>110</v>
      </c>
      <c r="B163" s="33">
        <f>(300000000)/B161</f>
        <v>65.217391304347828</v>
      </c>
    </row>
    <row r="164" spans="1:4" x14ac:dyDescent="0.25">
      <c r="A164" s="3" t="s">
        <v>129</v>
      </c>
      <c r="B164" s="30">
        <f>SQRT(B163*((B160*B160)/(B160+B160)))</f>
        <v>541.73633888596146</v>
      </c>
      <c r="C164" s="1" t="s">
        <v>130</v>
      </c>
    </row>
    <row r="167" spans="1:4" s="11" customFormat="1" x14ac:dyDescent="0.25">
      <c r="A167" s="11" t="s">
        <v>122</v>
      </c>
      <c r="B167" s="31"/>
    </row>
    <row r="169" spans="1:4" x14ac:dyDescent="0.25">
      <c r="A169" s="1" t="s">
        <v>12</v>
      </c>
    </row>
    <row r="170" spans="1:4" x14ac:dyDescent="0.25">
      <c r="A170" s="1" t="s">
        <v>114</v>
      </c>
      <c r="B170" s="7">
        <v>44.1</v>
      </c>
      <c r="C170" s="1">
        <f>(B170*1000000)</f>
        <v>44100000</v>
      </c>
    </row>
    <row r="171" spans="1:4" x14ac:dyDescent="0.25">
      <c r="A171" s="1" t="s">
        <v>120</v>
      </c>
      <c r="B171" s="7">
        <v>10</v>
      </c>
      <c r="C171" s="1">
        <f>(B171/1000)</f>
        <v>0.01</v>
      </c>
    </row>
    <row r="173" spans="1:4" x14ac:dyDescent="0.25">
      <c r="A173" s="1" t="s">
        <v>115</v>
      </c>
      <c r="B173" s="7">
        <v>5.51</v>
      </c>
      <c r="C173" s="38">
        <f>(B173*1000)</f>
        <v>5510</v>
      </c>
    </row>
    <row r="174" spans="1:4" x14ac:dyDescent="0.25">
      <c r="A174" s="1" t="s">
        <v>116</v>
      </c>
      <c r="B174" s="7">
        <v>63.5</v>
      </c>
      <c r="C174" s="1">
        <f>(B174*POWER(10,9))</f>
        <v>63500000000</v>
      </c>
      <c r="D174" s="19"/>
    </row>
    <row r="176" spans="1:4" s="11" customFormat="1" x14ac:dyDescent="0.25">
      <c r="A176" s="11" t="s">
        <v>153</v>
      </c>
      <c r="B176" s="31"/>
    </row>
    <row r="178" spans="1:3" x14ac:dyDescent="0.25">
      <c r="A178" s="1" t="s">
        <v>107</v>
      </c>
      <c r="B178" s="32">
        <v>8500</v>
      </c>
      <c r="C178" s="1" t="s">
        <v>70</v>
      </c>
    </row>
    <row r="179" spans="1:3" x14ac:dyDescent="0.25">
      <c r="A179" s="1" t="s">
        <v>93</v>
      </c>
      <c r="B179" s="32"/>
      <c r="C179" s="1" t="s">
        <v>12</v>
      </c>
    </row>
    <row r="180" spans="1:3" x14ac:dyDescent="0.25">
      <c r="A180" s="1" t="s">
        <v>110</v>
      </c>
      <c r="B180" s="52" t="e">
        <f>(300000000)/B179</f>
        <v>#DIV/0!</v>
      </c>
      <c r="C180" s="25" t="s">
        <v>158</v>
      </c>
    </row>
    <row r="183" spans="1:3" x14ac:dyDescent="0.25">
      <c r="A183" s="35" t="s">
        <v>117</v>
      </c>
      <c r="B183" s="36" t="e">
        <f>20*LOG10(B178)+20*LOG10(B179)+32.45</f>
        <v>#NUM!</v>
      </c>
      <c r="C183" s="35" t="s">
        <v>5</v>
      </c>
    </row>
    <row r="184" spans="1:3" x14ac:dyDescent="0.25">
      <c r="A184" s="3" t="s">
        <v>95</v>
      </c>
      <c r="B184" s="30" t="e">
        <f>POWER((4*PI()*B178/B180),2)</f>
        <v>#DIV/0!</v>
      </c>
      <c r="C184" s="1" t="s">
        <v>119</v>
      </c>
    </row>
    <row r="185" spans="1:3" x14ac:dyDescent="0.25">
      <c r="A185" s="3" t="s">
        <v>118</v>
      </c>
      <c r="B185" s="30" t="e">
        <f>20*LOG10(4*PI()*B178/B180)</f>
        <v>#DIV/0!</v>
      </c>
      <c r="C185" s="1" t="s">
        <v>5</v>
      </c>
    </row>
    <row r="188" spans="1:3" x14ac:dyDescent="0.25">
      <c r="A188" s="3" t="s">
        <v>121</v>
      </c>
      <c r="B188" s="30">
        <f>B190+B191+B192+-B193</f>
        <v>-91.441772186048681</v>
      </c>
      <c r="C188" s="1" t="s">
        <v>5</v>
      </c>
    </row>
    <row r="190" spans="1:3" x14ac:dyDescent="0.25">
      <c r="A190" s="1" t="s">
        <v>123</v>
      </c>
      <c r="B190" s="32">
        <v>-43</v>
      </c>
      <c r="C190" s="1" t="s">
        <v>5</v>
      </c>
    </row>
    <row r="191" spans="1:3" x14ac:dyDescent="0.25">
      <c r="A191" s="1" t="s">
        <v>125</v>
      </c>
      <c r="B191" s="32">
        <v>2</v>
      </c>
      <c r="C191" s="1" t="s">
        <v>124</v>
      </c>
    </row>
    <row r="192" spans="1:3" x14ac:dyDescent="0.25">
      <c r="A192" s="1" t="s">
        <v>126</v>
      </c>
      <c r="B192" s="32">
        <v>2</v>
      </c>
      <c r="C192" s="1" t="s">
        <v>124</v>
      </c>
    </row>
    <row r="193" spans="1:5" x14ac:dyDescent="0.25">
      <c r="A193" s="1" t="s">
        <v>95</v>
      </c>
      <c r="B193" s="32">
        <v>52.441772186048681</v>
      </c>
      <c r="C193" s="1" t="s">
        <v>5</v>
      </c>
    </row>
    <row r="195" spans="1:5" x14ac:dyDescent="0.25">
      <c r="E195" s="34"/>
    </row>
    <row r="196" spans="1:5" s="11" customFormat="1" x14ac:dyDescent="0.25">
      <c r="A196" s="11" t="s">
        <v>128</v>
      </c>
      <c r="B196" s="31"/>
    </row>
    <row r="197" spans="1:5" x14ac:dyDescent="0.25">
      <c r="A197" s="1" t="s">
        <v>93</v>
      </c>
      <c r="B197" s="32">
        <v>25000000</v>
      </c>
      <c r="C197" s="1" t="s">
        <v>12</v>
      </c>
    </row>
    <row r="198" spans="1:5" x14ac:dyDescent="0.25">
      <c r="A198" s="1" t="s">
        <v>52</v>
      </c>
      <c r="B198" s="32">
        <v>20000</v>
      </c>
      <c r="C198" s="1" t="s">
        <v>2</v>
      </c>
    </row>
    <row r="199" spans="1:5" x14ac:dyDescent="0.25">
      <c r="A199" s="1" t="s">
        <v>53</v>
      </c>
      <c r="B199" s="32">
        <v>5.0118723362726945E-12</v>
      </c>
      <c r="C199" s="1" t="s">
        <v>2</v>
      </c>
    </row>
    <row r="200" spans="1:5" x14ac:dyDescent="0.25">
      <c r="A200" s="1" t="s">
        <v>54</v>
      </c>
      <c r="B200" s="32">
        <v>2.5118864315095806</v>
      </c>
      <c r="C200" s="1" t="s">
        <v>2</v>
      </c>
    </row>
    <row r="201" spans="1:5" x14ac:dyDescent="0.25">
      <c r="A201" s="1" t="s">
        <v>55</v>
      </c>
      <c r="B201" s="32">
        <v>2.5118864315095806</v>
      </c>
      <c r="C201" s="1" t="s">
        <v>2</v>
      </c>
    </row>
    <row r="202" spans="1:5" x14ac:dyDescent="0.25">
      <c r="B202" s="1"/>
    </row>
    <row r="203" spans="1:5" x14ac:dyDescent="0.25">
      <c r="A203" s="1" t="s">
        <v>110</v>
      </c>
      <c r="B203" s="33">
        <f>(300000000)/B197</f>
        <v>12</v>
      </c>
    </row>
    <row r="204" spans="1:5" x14ac:dyDescent="0.25">
      <c r="A204" s="1" t="s">
        <v>107</v>
      </c>
      <c r="B204" s="7">
        <f>(B203/(4*PI()))*(SQRT((B198*B200*B201)/B199))</f>
        <v>151525728.21561557</v>
      </c>
      <c r="C204" s="1" t="s">
        <v>70</v>
      </c>
    </row>
    <row r="205" spans="1:5" x14ac:dyDescent="0.25">
      <c r="B205" s="15">
        <f>(B204)</f>
        <v>151525728.21561557</v>
      </c>
      <c r="C205" s="1" t="s">
        <v>70</v>
      </c>
    </row>
    <row r="210" spans="1:3" s="13" customFormat="1" x14ac:dyDescent="0.25">
      <c r="A210" s="11" t="s">
        <v>131</v>
      </c>
      <c r="B210" s="12"/>
    </row>
    <row r="211" spans="1:3" x14ac:dyDescent="0.25">
      <c r="A211" s="3" t="s">
        <v>132</v>
      </c>
      <c r="B211" s="30" t="s">
        <v>133</v>
      </c>
    </row>
    <row r="212" spans="1:3" x14ac:dyDescent="0.25">
      <c r="A212" s="1">
        <v>0.35099999999999998</v>
      </c>
      <c r="B212" s="7">
        <f>(A212*LOG(A212,2))</f>
        <v>-0.53017042958949179</v>
      </c>
    </row>
    <row r="213" spans="1:3" x14ac:dyDescent="0.25">
      <c r="A213" s="1">
        <v>0.108</v>
      </c>
      <c r="B213" s="7">
        <f t="shared" ref="B213:B214" si="0">(A213*LOG(A213,2))</f>
        <v>-0.3467768525098508</v>
      </c>
    </row>
    <row r="214" spans="1:3" x14ac:dyDescent="0.25">
      <c r="A214" s="1">
        <v>0.54100000000000004</v>
      </c>
      <c r="B214" s="7">
        <f t="shared" si="0"/>
        <v>-0.47948802995188206</v>
      </c>
    </row>
    <row r="217" spans="1:3" x14ac:dyDescent="0.25">
      <c r="A217" s="1" t="s">
        <v>156</v>
      </c>
      <c r="B217" s="30">
        <f>-SUM(B212:B216)</f>
        <v>1.3564353120512247</v>
      </c>
      <c r="C217" s="1" t="s">
        <v>134</v>
      </c>
    </row>
    <row r="220" spans="1:3" x14ac:dyDescent="0.25">
      <c r="A220" s="3" t="s">
        <v>132</v>
      </c>
      <c r="B220" s="7" t="s">
        <v>135</v>
      </c>
      <c r="C220" s="3" t="s">
        <v>136</v>
      </c>
    </row>
    <row r="221" spans="1:3" x14ac:dyDescent="0.25">
      <c r="A221" s="1">
        <v>0.505</v>
      </c>
      <c r="B221" s="7">
        <v>1</v>
      </c>
      <c r="C221" s="1">
        <f>(B221*A221)</f>
        <v>0.505</v>
      </c>
    </row>
    <row r="222" spans="1:3" x14ac:dyDescent="0.25">
      <c r="A222" s="1">
        <v>0.25</v>
      </c>
      <c r="B222" s="7">
        <v>2</v>
      </c>
      <c r="C222" s="1">
        <f t="shared" ref="C222:C224" si="1">(B222*A222)</f>
        <v>0.5</v>
      </c>
    </row>
    <row r="223" spans="1:3" x14ac:dyDescent="0.25">
      <c r="A223" s="1">
        <v>0.125</v>
      </c>
      <c r="B223" s="7">
        <v>3</v>
      </c>
      <c r="C223" s="1">
        <f t="shared" si="1"/>
        <v>0.375</v>
      </c>
    </row>
    <row r="224" spans="1:3" x14ac:dyDescent="0.25">
      <c r="A224" s="1">
        <v>0.12</v>
      </c>
      <c r="B224" s="7">
        <v>4</v>
      </c>
      <c r="C224" s="1">
        <f t="shared" si="1"/>
        <v>0.48</v>
      </c>
    </row>
    <row r="226" spans="1:4" x14ac:dyDescent="0.25">
      <c r="C226" s="30">
        <f>SUM(C221:C225)</f>
        <v>1.8599999999999999</v>
      </c>
      <c r="D226" s="3" t="s">
        <v>134</v>
      </c>
    </row>
    <row r="228" spans="1:4" x14ac:dyDescent="0.25">
      <c r="A228" s="1" t="s">
        <v>137</v>
      </c>
    </row>
    <row r="230" spans="1:4" x14ac:dyDescent="0.25">
      <c r="C230" s="30">
        <f>(C226-B217)</f>
        <v>0.50356468794877518</v>
      </c>
      <c r="D230" s="3" t="s">
        <v>134</v>
      </c>
    </row>
    <row r="232" spans="1:4" s="13" customFormat="1" x14ac:dyDescent="0.25">
      <c r="A232" s="11" t="s">
        <v>131</v>
      </c>
      <c r="B232" s="1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F4B14-9F41-436E-9E8F-7CEB84BCC846}">
  <dimension ref="A2:K22"/>
  <sheetViews>
    <sheetView workbookViewId="0">
      <selection activeCell="K27" sqref="K27"/>
    </sheetView>
  </sheetViews>
  <sheetFormatPr defaultRowHeight="12.75" x14ac:dyDescent="0.2"/>
  <cols>
    <col min="1" max="1" width="9.140625" style="40"/>
    <col min="2" max="10" width="4.140625" style="40" customWidth="1"/>
    <col min="11" max="16384" width="9.140625" style="40"/>
  </cols>
  <sheetData>
    <row r="2" spans="1:11" x14ac:dyDescent="0.2">
      <c r="A2" s="42" t="s">
        <v>146</v>
      </c>
    </row>
    <row r="3" spans="1:11" x14ac:dyDescent="0.2">
      <c r="A3" s="39" t="s">
        <v>152</v>
      </c>
      <c r="B3" s="50">
        <v>7</v>
      </c>
      <c r="C3" s="50">
        <v>6</v>
      </c>
      <c r="D3" s="50">
        <v>5</v>
      </c>
      <c r="E3" s="50">
        <v>4</v>
      </c>
      <c r="F3" s="50">
        <v>3</v>
      </c>
      <c r="G3" s="50">
        <v>2</v>
      </c>
      <c r="H3" s="50">
        <v>1</v>
      </c>
      <c r="I3" s="39"/>
      <c r="J3" s="39"/>
      <c r="K3" s="39"/>
    </row>
    <row r="4" spans="1:11" ht="13.5" thickBot="1" x14ac:dyDescent="0.25">
      <c r="A4" s="39"/>
      <c r="B4" s="41" t="s">
        <v>138</v>
      </c>
      <c r="C4" s="41" t="s">
        <v>139</v>
      </c>
      <c r="D4" s="41" t="s">
        <v>140</v>
      </c>
      <c r="E4" s="41" t="s">
        <v>141</v>
      </c>
      <c r="F4" s="41" t="s">
        <v>142</v>
      </c>
      <c r="G4" s="41" t="s">
        <v>143</v>
      </c>
      <c r="H4" s="41" t="s">
        <v>144</v>
      </c>
      <c r="I4" s="39"/>
      <c r="J4" s="39"/>
      <c r="K4" s="39"/>
    </row>
    <row r="5" spans="1:11" ht="13.5" thickBot="1" x14ac:dyDescent="0.25">
      <c r="A5" s="42" t="s">
        <v>42</v>
      </c>
      <c r="B5" s="43">
        <v>1</v>
      </c>
      <c r="C5" s="43">
        <v>0</v>
      </c>
      <c r="D5" s="43">
        <v>0</v>
      </c>
      <c r="E5" s="44">
        <f>MOD(SUM(B5+C5+D5),2)</f>
        <v>1</v>
      </c>
      <c r="F5" s="43">
        <v>1</v>
      </c>
      <c r="G5" s="45">
        <f>MOD(SUM(B5+C5+F5),2)</f>
        <v>0</v>
      </c>
      <c r="H5" s="46">
        <f>MOD(SUM(B5+D5+F5),2)</f>
        <v>0</v>
      </c>
    </row>
    <row r="6" spans="1:11" x14ac:dyDescent="0.2">
      <c r="A6" s="42"/>
    </row>
    <row r="7" spans="1:11" x14ac:dyDescent="0.2">
      <c r="A7" s="42" t="s">
        <v>145</v>
      </c>
      <c r="E7" s="40">
        <f>MOD(SUM(B5+C5+D5),2)</f>
        <v>1</v>
      </c>
      <c r="G7" s="40">
        <f>MOD(SUM(B5+C5+F5),2)</f>
        <v>0</v>
      </c>
      <c r="H7" s="40">
        <f>MOD(SUM(B5+D5+F5),2)</f>
        <v>0</v>
      </c>
    </row>
    <row r="10" spans="1:11" x14ac:dyDescent="0.2">
      <c r="A10" s="40" t="s">
        <v>147</v>
      </c>
    </row>
    <row r="12" spans="1:11" ht="16.5" thickBot="1" x14ac:dyDescent="0.3">
      <c r="A12" s="47" t="s">
        <v>148</v>
      </c>
    </row>
    <row r="13" spans="1:11" ht="13.5" thickBot="1" x14ac:dyDescent="0.25">
      <c r="B13" s="43">
        <v>1</v>
      </c>
      <c r="C13" s="43">
        <v>1</v>
      </c>
      <c r="D13" s="43">
        <v>1</v>
      </c>
      <c r="E13" s="44">
        <v>0</v>
      </c>
      <c r="F13" s="43">
        <v>1</v>
      </c>
      <c r="G13" s="45">
        <v>1</v>
      </c>
      <c r="H13" s="46">
        <v>0</v>
      </c>
    </row>
    <row r="15" spans="1:11" x14ac:dyDescent="0.2">
      <c r="A15" s="40" t="s">
        <v>150</v>
      </c>
    </row>
    <row r="16" spans="1:11" x14ac:dyDescent="0.2">
      <c r="A16" s="40" t="s">
        <v>149</v>
      </c>
      <c r="B16" s="48">
        <f>(B13)</f>
        <v>1</v>
      </c>
      <c r="C16" s="48">
        <f t="shared" ref="C16:E16" si="0">(C13)</f>
        <v>1</v>
      </c>
      <c r="D16" s="48">
        <f t="shared" si="0"/>
        <v>1</v>
      </c>
      <c r="E16" s="48">
        <f t="shared" si="0"/>
        <v>0</v>
      </c>
      <c r="F16" s="49"/>
      <c r="G16" s="49"/>
      <c r="H16" s="49"/>
      <c r="I16" s="40">
        <f>MOD(SUM(B16:H16),2)</f>
        <v>1</v>
      </c>
    </row>
    <row r="17" spans="1:9" x14ac:dyDescent="0.2">
      <c r="A17" s="40" t="s">
        <v>11</v>
      </c>
      <c r="B17" s="48">
        <f>(B13)</f>
        <v>1</v>
      </c>
      <c r="C17" s="48">
        <f t="shared" ref="C17:G17" si="1">(C13)</f>
        <v>1</v>
      </c>
      <c r="D17" s="49"/>
      <c r="E17" s="49"/>
      <c r="F17" s="48">
        <f t="shared" si="1"/>
        <v>1</v>
      </c>
      <c r="G17" s="48">
        <f t="shared" si="1"/>
        <v>1</v>
      </c>
      <c r="H17" s="49"/>
      <c r="I17" s="40">
        <f t="shared" ref="I17:I18" si="2">MOD(SUM(B17:H17),2)</f>
        <v>0</v>
      </c>
    </row>
    <row r="18" spans="1:9" x14ac:dyDescent="0.2">
      <c r="A18" s="40" t="s">
        <v>13</v>
      </c>
      <c r="B18" s="48">
        <f>(B13)</f>
        <v>1</v>
      </c>
      <c r="C18" s="49"/>
      <c r="D18" s="48">
        <f t="shared" ref="D18:H18" si="3">(D13)</f>
        <v>1</v>
      </c>
      <c r="E18" s="49"/>
      <c r="F18" s="48">
        <f t="shared" si="3"/>
        <v>1</v>
      </c>
      <c r="G18" s="49"/>
      <c r="H18" s="48">
        <f t="shared" si="3"/>
        <v>0</v>
      </c>
      <c r="I18" s="40">
        <f t="shared" si="2"/>
        <v>1</v>
      </c>
    </row>
    <row r="22" spans="1:9" x14ac:dyDescent="0.2">
      <c r="G22" s="40">
        <v>101</v>
      </c>
      <c r="H22" s="51">
        <f>BIN2DEC(G22)</f>
        <v>5</v>
      </c>
      <c r="I22" s="40" t="s">
        <v>151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Hamming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Laursoo</dc:creator>
  <cp:lastModifiedBy>Robert Laursoo</cp:lastModifiedBy>
  <dcterms:created xsi:type="dcterms:W3CDTF">2020-04-22T14:23:02Z</dcterms:created>
  <dcterms:modified xsi:type="dcterms:W3CDTF">2020-05-21T07:13:22Z</dcterms:modified>
</cp:coreProperties>
</file>